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40" windowHeight="12480" activeTab="0"/>
  </bookViews>
  <sheets>
    <sheet name="DLP" sheetId="1" r:id="rId1"/>
  </sheets>
  <definedNames>
    <definedName name="_xlfn.SINGLE" hidden="1">#NAME?</definedName>
    <definedName name="_xlnm.Print_Area" localSheetId="0">'DLP'!$A$1:$S$39</definedName>
  </definedNames>
  <calcPr fullCalcOnLoad="1"/>
</workbook>
</file>

<file path=xl/sharedStrings.xml><?xml version="1.0" encoding="utf-8"?>
<sst xmlns="http://schemas.openxmlformats.org/spreadsheetml/2006/main" count="189" uniqueCount="128">
  <si>
    <t>S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</si>
  <si>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</si>
  <si>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superficie libera</t>
  </si>
  <si>
    <t>Q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</si>
  <si>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/h]</t>
    </r>
  </si>
  <si>
    <t>portata aria immessa</t>
  </si>
  <si>
    <r>
      <t>D</t>
    </r>
    <r>
      <rPr>
        <b/>
        <sz val="10"/>
        <rFont val="Arial"/>
        <family val="2"/>
      </rPr>
      <t>T</t>
    </r>
  </si>
  <si>
    <t>[°C]</t>
  </si>
  <si>
    <t>salto termico</t>
  </si>
  <si>
    <t>Salto termico</t>
  </si>
  <si>
    <t>Raffreddamento</t>
  </si>
  <si>
    <t>Diffusione isoterma</t>
  </si>
  <si>
    <t>+5</t>
  </si>
  <si>
    <t>Riscaldamento</t>
  </si>
  <si>
    <t>+10</t>
  </si>
  <si>
    <t>H</t>
  </si>
  <si>
    <t>[m]</t>
  </si>
  <si>
    <t>altezza di installazione</t>
  </si>
  <si>
    <t>D</t>
  </si>
  <si>
    <t>Coefficienti</t>
  </si>
  <si>
    <t>Installazione</t>
  </si>
  <si>
    <t>coeff.</t>
  </si>
  <si>
    <t>filo soffitto</t>
  </si>
  <si>
    <t>campo libero</t>
  </si>
  <si>
    <r>
      <t>v</t>
    </r>
    <r>
      <rPr>
        <b/>
        <vertAlign val="subscript"/>
        <sz val="10"/>
        <rFont val="Arial"/>
        <family val="2"/>
      </rPr>
      <t>K</t>
    </r>
  </si>
  <si>
    <t>[m/s]</t>
  </si>
  <si>
    <t>velocità frontale</t>
  </si>
  <si>
    <r>
      <t>D</t>
    </r>
    <r>
      <rPr>
        <b/>
        <sz val="10"/>
        <rFont val="Arial"/>
        <family val="2"/>
      </rPr>
      <t>p</t>
    </r>
  </si>
  <si>
    <t>[Pa]</t>
  </si>
  <si>
    <t>perdite di carico</t>
  </si>
  <si>
    <t>ver.</t>
  </si>
  <si>
    <t>k1</t>
  </si>
  <si>
    <t>k3</t>
  </si>
  <si>
    <t>NR</t>
  </si>
  <si>
    <t>y</t>
  </si>
  <si>
    <t>componente verticale di lancio</t>
  </si>
  <si>
    <r>
      <t>v</t>
    </r>
    <r>
      <rPr>
        <b/>
        <vertAlign val="subscript"/>
        <sz val="10"/>
        <rFont val="Arial"/>
        <family val="2"/>
      </rPr>
      <t>1,8</t>
    </r>
  </si>
  <si>
    <t>velocità terminale a 1,8 m da terra</t>
  </si>
  <si>
    <r>
      <t>y</t>
    </r>
    <r>
      <rPr>
        <b/>
        <vertAlign val="subscript"/>
        <sz val="10"/>
        <rFont val="Arial"/>
        <family val="2"/>
      </rPr>
      <t>MAX</t>
    </r>
  </si>
  <si>
    <t>profondità massima in riscaldamento</t>
  </si>
  <si>
    <t>n</t>
  </si>
  <si>
    <t>deflettori</t>
  </si>
  <si>
    <r>
      <t>D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/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0</t>
    </r>
  </si>
  <si>
    <t>i</t>
  </si>
  <si>
    <t>L</t>
  </si>
  <si>
    <t>[mm]</t>
  </si>
  <si>
    <t>lunghezza diffusore</t>
  </si>
  <si>
    <t>numero feritoie</t>
  </si>
  <si>
    <t>diritti</t>
  </si>
  <si>
    <t>inclinati</t>
  </si>
  <si>
    <t>senza</t>
  </si>
  <si>
    <t>Serranda</t>
  </si>
  <si>
    <t>Senza</t>
  </si>
  <si>
    <t>Con</t>
  </si>
  <si>
    <t>c1</t>
  </si>
  <si>
    <t>c2</t>
  </si>
  <si>
    <t>C1</t>
  </si>
  <si>
    <t>C2</t>
  </si>
  <si>
    <t>a1</t>
  </si>
  <si>
    <t>a2</t>
  </si>
  <si>
    <t>a3</t>
  </si>
  <si>
    <t>b1</t>
  </si>
  <si>
    <t>k corr1</t>
  </si>
  <si>
    <t>v (D/2)</t>
  </si>
  <si>
    <t>k corr2</t>
  </si>
  <si>
    <t>y crit</t>
  </si>
  <si>
    <t>b</t>
  </si>
  <si>
    <t>k corr3</t>
  </si>
  <si>
    <t>Induzione</t>
  </si>
  <si>
    <t>nt</t>
  </si>
  <si>
    <t>t1</t>
  </si>
  <si>
    <t>t2</t>
  </si>
  <si>
    <t>ni</t>
  </si>
  <si>
    <t>t3</t>
  </si>
  <si>
    <t>t4</t>
  </si>
  <si>
    <t>rapporto di temperatura</t>
  </si>
  <si>
    <t>ay</t>
  </si>
  <si>
    <t>by</t>
  </si>
  <si>
    <t>cy</t>
  </si>
  <si>
    <t>x</t>
  </si>
  <si>
    <t>cod.</t>
  </si>
  <si>
    <t>1.0.0</t>
  </si>
  <si>
    <r>
      <t>rapporto di induzione (=Q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</si>
  <si>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DLP - Diffusori lineari ad alta induzione</t>
  </si>
  <si>
    <t>mod.</t>
  </si>
  <si>
    <t>slot</t>
  </si>
  <si>
    <t>DLPA</t>
  </si>
  <si>
    <t>DLPB</t>
  </si>
  <si>
    <t>(a scomparsa senza cornice)</t>
  </si>
  <si>
    <t>(con cornice da 10 mm)</t>
  </si>
  <si>
    <t>modello con/senza cornice</t>
  </si>
  <si>
    <t>larghezza (mm) profilo deflettore</t>
  </si>
  <si>
    <t>q</t>
  </si>
  <si>
    <t>LATO SX</t>
  </si>
  <si>
    <t>LATO DX</t>
  </si>
  <si>
    <t xml:space="preserve"> [m]</t>
  </si>
  <si>
    <t>interasse diffusori</t>
  </si>
  <si>
    <t>distanza dalla parete</t>
  </si>
  <si>
    <t>1-1.0-07.16-I-07/10</t>
  </si>
  <si>
    <r>
      <t>v</t>
    </r>
    <r>
      <rPr>
        <b/>
        <vertAlign val="subscript"/>
        <sz val="10"/>
        <rFont val="Arial"/>
        <family val="2"/>
      </rPr>
      <t>T</t>
    </r>
  </si>
  <si>
    <r>
      <t>L</t>
    </r>
    <r>
      <rPr>
        <b/>
        <vertAlign val="subscript"/>
        <sz val="10"/>
        <rFont val="Arial"/>
        <family val="2"/>
      </rPr>
      <t>T</t>
    </r>
  </si>
  <si>
    <r>
      <t>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/100</t>
    </r>
  </si>
  <si>
    <t>velocità terminale del lancio</t>
  </si>
  <si>
    <r>
      <t>lancio con velocità terminale v</t>
    </r>
    <r>
      <rPr>
        <vertAlign val="subscript"/>
        <sz val="10"/>
        <rFont val="Arial"/>
        <family val="2"/>
      </rPr>
      <t>T</t>
    </r>
  </si>
  <si>
    <t>indice di rumorosità</t>
  </si>
  <si>
    <t>installazione a soffitto con lancio ad 1 via</t>
  </si>
  <si>
    <t>installazione a soffitto con lancio a 2 vie</t>
  </si>
  <si>
    <t>installazione a soffitto con lancio verticale vicino a parete/vetrata</t>
  </si>
  <si>
    <t>installazione a soffitto con lancio verticale lontano da parete/vetrata</t>
  </si>
  <si>
    <t>installazione a parete vicino al soffitto</t>
  </si>
  <si>
    <t>a</t>
  </si>
  <si>
    <t>lanci</t>
  </si>
  <si>
    <r>
      <t>L</t>
    </r>
    <r>
      <rPr>
        <b/>
        <vertAlign val="subscript"/>
        <sz val="10"/>
        <rFont val="Arial"/>
        <family val="2"/>
      </rPr>
      <t>0,2</t>
    </r>
    <r>
      <rPr>
        <b/>
        <sz val="10"/>
        <rFont val="Arial"/>
        <family val="2"/>
      </rPr>
      <t xml:space="preserve"> isot</t>
    </r>
  </si>
  <si>
    <t>COEFFICIENTI CORRETTIVI PER LANCI</t>
  </si>
  <si>
    <t>DLP20</t>
  </si>
  <si>
    <t>DLP30</t>
  </si>
  <si>
    <t>DLP40</t>
  </si>
  <si>
    <t>n° feritoie</t>
  </si>
  <si>
    <t>dir. lancio</t>
  </si>
  <si>
    <t>k lanci</t>
  </si>
  <si>
    <t>perdite di carico in ripresa</t>
  </si>
  <si>
    <r>
      <t>D</t>
    </r>
    <r>
      <rPr>
        <b/>
        <sz val="10"/>
        <color indexed="17"/>
        <rFont val="Arial"/>
        <family val="2"/>
      </rPr>
      <t>p'</t>
    </r>
  </si>
  <si>
    <t>S ripresa</t>
  </si>
  <si>
    <t>20 ripr</t>
  </si>
  <si>
    <t>30 ripr</t>
  </si>
  <si>
    <t>40 ripr</t>
  </si>
  <si>
    <t>NR'</t>
  </si>
  <si>
    <t>indice di rumorosità in ripresa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</si>
</sst>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Symbol"/>
      <family val="1"/>
    </font>
    <font>
      <sz val="10"/>
      <color indexed="17"/>
      <name val="Arial"/>
      <family val="2"/>
    </font>
    <font>
      <b/>
      <sz val="10"/>
      <color indexed="11"/>
      <name val="Arial"/>
      <family val="2"/>
    </font>
    <font>
      <sz val="8"/>
      <name val="Segoe UI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Symbol"/>
      <family val="1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CC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1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171" fontId="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71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1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1" fontId="0" fillId="0" borderId="12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/>
    </xf>
    <xf numFmtId="170" fontId="0" fillId="0" borderId="0" xfId="0" applyNumberFormat="1" applyFill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" fontId="0" fillId="34" borderId="12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Fill="1" applyAlignment="1">
      <alignment vertical="center"/>
    </xf>
    <xf numFmtId="171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/>
      <protection/>
    </xf>
    <xf numFmtId="1" fontId="54" fillId="0" borderId="0" xfId="0" applyNumberFormat="1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5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4</xdr:row>
      <xdr:rowOff>0</xdr:rowOff>
    </xdr:from>
    <xdr:to>
      <xdr:col>15</xdr:col>
      <xdr:colOff>438150</xdr:colOff>
      <xdr:row>5</xdr:row>
      <xdr:rowOff>0</xdr:rowOff>
    </xdr:to>
    <xdr:sp>
      <xdr:nvSpPr>
        <xdr:cNvPr id="1" name="AutoShape 99"/>
        <xdr:cNvSpPr>
          <a:spLocks/>
        </xdr:cNvSpPr>
      </xdr:nvSpPr>
      <xdr:spPr>
        <a:xfrm>
          <a:off x="9172575" y="904875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123825</xdr:rowOff>
    </xdr:from>
    <xdr:to>
      <xdr:col>9</xdr:col>
      <xdr:colOff>0</xdr:colOff>
      <xdr:row>38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419100" y="1028700"/>
          <a:ext cx="5638800" cy="5705475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4</xdr:row>
      <xdr:rowOff>0</xdr:rowOff>
    </xdr:from>
    <xdr:to>
      <xdr:col>8</xdr:col>
      <xdr:colOff>1257300</xdr:colOff>
      <xdr:row>5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4352925" y="904875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4</xdr:row>
      <xdr:rowOff>0</xdr:rowOff>
    </xdr:from>
    <xdr:to>
      <xdr:col>8</xdr:col>
      <xdr:colOff>133350</xdr:colOff>
      <xdr:row>5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0" y="904875"/>
          <a:ext cx="43719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Dati in ingresso:</a:t>
          </a:r>
        </a:p>
      </xdr:txBody>
    </xdr:sp>
    <xdr:clientData/>
  </xdr:twoCellAnchor>
  <xdr:twoCellAnchor editAs="absolute">
    <xdr:from>
      <xdr:col>8</xdr:col>
      <xdr:colOff>104775</xdr:colOff>
      <xdr:row>4</xdr:row>
      <xdr:rowOff>0</xdr:rowOff>
    </xdr:from>
    <xdr:to>
      <xdr:col>8</xdr:col>
      <xdr:colOff>790575</xdr:colOff>
      <xdr:row>5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4343400" y="904875"/>
          <a:ext cx="685800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>
    <xdr:from>
      <xdr:col>9</xdr:col>
      <xdr:colOff>66675</xdr:colOff>
      <xdr:row>4</xdr:row>
      <xdr:rowOff>123825</xdr:rowOff>
    </xdr:from>
    <xdr:to>
      <xdr:col>18</xdr:col>
      <xdr:colOff>0</xdr:colOff>
      <xdr:row>38</xdr:row>
      <xdr:rowOff>0</xdr:rowOff>
    </xdr:to>
    <xdr:sp>
      <xdr:nvSpPr>
        <xdr:cNvPr id="6" name="Rectangle 18"/>
        <xdr:cNvSpPr>
          <a:spLocks/>
        </xdr:cNvSpPr>
      </xdr:nvSpPr>
      <xdr:spPr>
        <a:xfrm>
          <a:off x="6124575" y="1028700"/>
          <a:ext cx="5581650" cy="5705475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7" name="Rectangle 70"/>
        <xdr:cNvSpPr>
          <a:spLocks/>
        </xdr:cNvSpPr>
      </xdr:nvSpPr>
      <xdr:spPr>
        <a:xfrm>
          <a:off x="1019175" y="22764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752475" cy="247650"/>
    <xdr:sp>
      <xdr:nvSpPr>
        <xdr:cNvPr id="8" name="Rectangle 71"/>
        <xdr:cNvSpPr>
          <a:spLocks/>
        </xdr:cNvSpPr>
      </xdr:nvSpPr>
      <xdr:spPr>
        <a:xfrm>
          <a:off x="1019175" y="22764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52475" cy="247650"/>
    <xdr:sp>
      <xdr:nvSpPr>
        <xdr:cNvPr id="9" name="Rectangle 72"/>
        <xdr:cNvSpPr>
          <a:spLocks/>
        </xdr:cNvSpPr>
      </xdr:nvSpPr>
      <xdr:spPr>
        <a:xfrm>
          <a:off x="1019175" y="26193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10" name="Rectangle 73"/>
        <xdr:cNvSpPr>
          <a:spLocks/>
        </xdr:cNvSpPr>
      </xdr:nvSpPr>
      <xdr:spPr>
        <a:xfrm>
          <a:off x="1019175" y="29622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11" name="Rectangle 74"/>
        <xdr:cNvSpPr>
          <a:spLocks/>
        </xdr:cNvSpPr>
      </xdr:nvSpPr>
      <xdr:spPr>
        <a:xfrm>
          <a:off x="1019175" y="33051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752475" cy="247650"/>
    <xdr:sp>
      <xdr:nvSpPr>
        <xdr:cNvPr id="12" name="Rectangle 91"/>
        <xdr:cNvSpPr>
          <a:spLocks/>
        </xdr:cNvSpPr>
      </xdr:nvSpPr>
      <xdr:spPr>
        <a:xfrm>
          <a:off x="1019175" y="33051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66675</xdr:colOff>
      <xdr:row>4</xdr:row>
      <xdr:rowOff>0</xdr:rowOff>
    </xdr:from>
    <xdr:ext cx="3267075" cy="247650"/>
    <xdr:sp>
      <xdr:nvSpPr>
        <xdr:cNvPr id="13" name="Text Box 96"/>
        <xdr:cNvSpPr txBox="1">
          <a:spLocks noChangeArrowheads="1"/>
        </xdr:cNvSpPr>
      </xdr:nvSpPr>
      <xdr:spPr>
        <a:xfrm>
          <a:off x="6124575" y="904875"/>
          <a:ext cx="32670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Risultati:</a:t>
          </a:r>
        </a:p>
      </xdr:txBody>
    </xdr:sp>
    <xdr:clientData/>
  </xdr:oneCellAnchor>
  <xdr:oneCellAnchor>
    <xdr:from>
      <xdr:col>13</xdr:col>
      <xdr:colOff>266700</xdr:colOff>
      <xdr:row>4</xdr:row>
      <xdr:rowOff>0</xdr:rowOff>
    </xdr:from>
    <xdr:ext cx="676275" cy="247650"/>
    <xdr:sp>
      <xdr:nvSpPr>
        <xdr:cNvPr id="14" name="Text Box 98"/>
        <xdr:cNvSpPr txBox="1">
          <a:spLocks noChangeArrowheads="1"/>
        </xdr:cNvSpPr>
      </xdr:nvSpPr>
      <xdr:spPr>
        <a:xfrm>
          <a:off x="8924925" y="904875"/>
          <a:ext cx="6762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oneCellAnchor>
  <xdr:twoCellAnchor editAs="absolute">
    <xdr:from>
      <xdr:col>9</xdr:col>
      <xdr:colOff>171450</xdr:colOff>
      <xdr:row>2</xdr:row>
      <xdr:rowOff>0</xdr:rowOff>
    </xdr:from>
    <xdr:to>
      <xdr:col>12</xdr:col>
      <xdr:colOff>523875</xdr:colOff>
      <xdr:row>3</xdr:row>
      <xdr:rowOff>114300</xdr:rowOff>
    </xdr:to>
    <xdr:pic>
      <xdr:nvPicPr>
        <xdr:cNvPr id="15" name="Picture 143" descr="logo tecno-vent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409575"/>
          <a:ext cx="2343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6" name="Rectangle 144"/>
        <xdr:cNvSpPr>
          <a:spLocks/>
        </xdr:cNvSpPr>
      </xdr:nvSpPr>
      <xdr:spPr>
        <a:xfrm>
          <a:off x="1019175" y="19335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571500</xdr:colOff>
      <xdr:row>20</xdr:row>
      <xdr:rowOff>104775</xdr:rowOff>
    </xdr:from>
    <xdr:ext cx="514350" cy="200025"/>
    <xdr:sp>
      <xdr:nvSpPr>
        <xdr:cNvPr id="17" name="Text Box 205"/>
        <xdr:cNvSpPr txBox="1">
          <a:spLocks noChangeArrowheads="1"/>
        </xdr:cNvSpPr>
      </xdr:nvSpPr>
      <xdr:spPr>
        <a:xfrm>
          <a:off x="981075" y="3752850"/>
          <a:ext cx="514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Lato SX</a:t>
          </a:r>
        </a:p>
      </xdr:txBody>
    </xdr:sp>
    <xdr:clientData/>
  </xdr:oneCellAnchor>
  <xdr:oneCellAnchor>
    <xdr:from>
      <xdr:col>6</xdr:col>
      <xdr:colOff>0</xdr:colOff>
      <xdr:row>20</xdr:row>
      <xdr:rowOff>123825</xdr:rowOff>
    </xdr:from>
    <xdr:ext cx="514350" cy="190500"/>
    <xdr:sp>
      <xdr:nvSpPr>
        <xdr:cNvPr id="18" name="Text Box 216"/>
        <xdr:cNvSpPr txBox="1">
          <a:spLocks noChangeArrowheads="1"/>
        </xdr:cNvSpPr>
      </xdr:nvSpPr>
      <xdr:spPr>
        <a:xfrm>
          <a:off x="3048000" y="3771900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Lato DX</a:t>
          </a:r>
        </a:p>
      </xdr:txBody>
    </xdr:sp>
    <xdr:clientData/>
  </xdr:oneCellAnchor>
  <xdr:oneCellAnchor>
    <xdr:from>
      <xdr:col>8</xdr:col>
      <xdr:colOff>142875</xdr:colOff>
      <xdr:row>21</xdr:row>
      <xdr:rowOff>9525</xdr:rowOff>
    </xdr:from>
    <xdr:ext cx="1219200" cy="847725"/>
    <xdr:sp>
      <xdr:nvSpPr>
        <xdr:cNvPr id="19" name="Text Box 217"/>
        <xdr:cNvSpPr txBox="1">
          <a:spLocks noChangeArrowheads="1"/>
        </xdr:cNvSpPr>
      </xdr:nvSpPr>
      <xdr:spPr>
        <a:xfrm>
          <a:off x="4381500" y="3905250"/>
          <a:ext cx="12192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interasse diffusori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distanza parete</a:t>
          </a:r>
        </a:p>
      </xdr:txBody>
    </xdr:sp>
    <xdr:clientData/>
  </xdr:oneCellAnchor>
  <xdr:twoCellAnchor>
    <xdr:from>
      <xdr:col>1</xdr:col>
      <xdr:colOff>28575</xdr:colOff>
      <xdr:row>21</xdr:row>
      <xdr:rowOff>0</xdr:rowOff>
    </xdr:from>
    <xdr:to>
      <xdr:col>4</xdr:col>
      <xdr:colOff>9525</xdr:colOff>
      <xdr:row>25</xdr:row>
      <xdr:rowOff>66675</xdr:rowOff>
    </xdr:to>
    <xdr:grpSp>
      <xdr:nvGrpSpPr>
        <xdr:cNvPr id="20" name="Group 256"/>
        <xdr:cNvGrpSpPr>
          <a:grpSpLocks/>
        </xdr:cNvGrpSpPr>
      </xdr:nvGrpSpPr>
      <xdr:grpSpPr>
        <a:xfrm>
          <a:off x="438150" y="3895725"/>
          <a:ext cx="1781175" cy="752475"/>
          <a:chOff x="46" y="409"/>
          <a:chExt cx="187" cy="79"/>
        </a:xfrm>
        <a:solidFill>
          <a:srgbClr val="FFFFFF"/>
        </a:solidFill>
      </xdr:grpSpPr>
      <xdr:sp>
        <xdr:nvSpPr>
          <xdr:cNvPr id="21" name="Rectangle 203"/>
          <xdr:cNvSpPr>
            <a:spLocks/>
          </xdr:cNvSpPr>
        </xdr:nvSpPr>
        <xdr:spPr>
          <a:xfrm>
            <a:off x="107" y="419"/>
            <a:ext cx="79" cy="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07"/>
          <xdr:cNvSpPr>
            <a:spLocks/>
          </xdr:cNvSpPr>
        </xdr:nvSpPr>
        <xdr:spPr>
          <a:xfrm>
            <a:off x="107" y="455"/>
            <a:ext cx="79" cy="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104775</xdr:colOff>
      <xdr:row>38</xdr:row>
      <xdr:rowOff>152400</xdr:rowOff>
    </xdr:from>
    <xdr:to>
      <xdr:col>14</xdr:col>
      <xdr:colOff>19050</xdr:colOff>
      <xdr:row>59</xdr:row>
      <xdr:rowOff>66675</xdr:rowOff>
    </xdr:to>
    <xdr:pic>
      <xdr:nvPicPr>
        <xdr:cNvPr id="23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886575"/>
          <a:ext cx="9182100" cy="45339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5</xdr:col>
      <xdr:colOff>495300</xdr:colOff>
      <xdr:row>20</xdr:row>
      <xdr:rowOff>123825</xdr:rowOff>
    </xdr:from>
    <xdr:ext cx="304800" cy="190500"/>
    <xdr:sp>
      <xdr:nvSpPr>
        <xdr:cNvPr id="24" name="Text Box 234"/>
        <xdr:cNvSpPr txBox="1">
          <a:spLocks noChangeArrowheads="1"/>
        </xdr:cNvSpPr>
      </xdr:nvSpPr>
      <xdr:spPr>
        <a:xfrm>
          <a:off x="2933700" y="3771900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Lato </a:t>
          </a:r>
        </a:p>
      </xdr:txBody>
    </xdr:sp>
    <xdr:clientData/>
  </xdr:oneCellAnchor>
  <xdr:twoCellAnchor>
    <xdr:from>
      <xdr:col>5</xdr:col>
      <xdr:colOff>28575</xdr:colOff>
      <xdr:row>21</xdr:row>
      <xdr:rowOff>0</xdr:rowOff>
    </xdr:from>
    <xdr:to>
      <xdr:col>8</xdr:col>
      <xdr:colOff>9525</xdr:colOff>
      <xdr:row>25</xdr:row>
      <xdr:rowOff>66675</xdr:rowOff>
    </xdr:to>
    <xdr:grpSp>
      <xdr:nvGrpSpPr>
        <xdr:cNvPr id="25" name="Group 257"/>
        <xdr:cNvGrpSpPr>
          <a:grpSpLocks/>
        </xdr:cNvGrpSpPr>
      </xdr:nvGrpSpPr>
      <xdr:grpSpPr>
        <a:xfrm>
          <a:off x="2466975" y="3895725"/>
          <a:ext cx="1781175" cy="752475"/>
          <a:chOff x="281" y="409"/>
          <a:chExt cx="187" cy="79"/>
        </a:xfrm>
        <a:solidFill>
          <a:srgbClr val="FFFFFF"/>
        </a:solidFill>
      </xdr:grpSpPr>
      <xdr:sp>
        <xdr:nvSpPr>
          <xdr:cNvPr id="26" name="Rectangle 239"/>
          <xdr:cNvSpPr>
            <a:spLocks/>
          </xdr:cNvSpPr>
        </xdr:nvSpPr>
        <xdr:spPr>
          <a:xfrm>
            <a:off x="342" y="419"/>
            <a:ext cx="79" cy="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41"/>
          <xdr:cNvSpPr>
            <a:spLocks/>
          </xdr:cNvSpPr>
        </xdr:nvSpPr>
        <xdr:spPr>
          <a:xfrm>
            <a:off x="342" y="455"/>
            <a:ext cx="79" cy="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28" name="Rectangle 264"/>
        <xdr:cNvSpPr>
          <a:spLocks/>
        </xdr:cNvSpPr>
      </xdr:nvSpPr>
      <xdr:spPr>
        <a:xfrm>
          <a:off x="1019175" y="12477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29" name="Rectangle 265"/>
        <xdr:cNvSpPr>
          <a:spLocks/>
        </xdr:cNvSpPr>
      </xdr:nvSpPr>
      <xdr:spPr>
        <a:xfrm>
          <a:off x="1019175" y="15906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409575</xdr:colOff>
      <xdr:row>26</xdr:row>
      <xdr:rowOff>38100</xdr:rowOff>
    </xdr:from>
    <xdr:to>
      <xdr:col>8</xdr:col>
      <xdr:colOff>1419225</xdr:colOff>
      <xdr:row>34</xdr:row>
      <xdr:rowOff>104775</xdr:rowOff>
    </xdr:to>
    <xdr:pic>
      <xdr:nvPicPr>
        <xdr:cNvPr id="30" name="Picture 266" descr="DL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4714875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AU115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6.140625" style="3" customWidth="1"/>
    <col min="2" max="2" width="9.140625" style="3" customWidth="1"/>
    <col min="3" max="3" width="11.28125" style="3" customWidth="1"/>
    <col min="4" max="4" width="6.57421875" style="3" customWidth="1"/>
    <col min="5" max="5" width="3.421875" style="3" customWidth="1"/>
    <col min="6" max="6" width="9.140625" style="3" customWidth="1"/>
    <col min="7" max="7" width="11.28125" style="3" customWidth="1"/>
    <col min="8" max="8" width="6.57421875" style="3" customWidth="1"/>
    <col min="9" max="9" width="27.28125" style="3" customWidth="1"/>
    <col min="10" max="10" width="10.57421875" style="3" customWidth="1"/>
    <col min="11" max="11" width="10.140625" style="3" customWidth="1"/>
    <col min="12" max="18" width="9.140625" style="3" customWidth="1"/>
    <col min="19" max="26" width="0" style="3" hidden="1" customWidth="1"/>
    <col min="27" max="28" width="9.7109375" style="3" hidden="1" customWidth="1"/>
    <col min="29" max="47" width="0" style="3" hidden="1" customWidth="1"/>
    <col min="48" max="16384" width="9.140625" style="3" customWidth="1"/>
  </cols>
  <sheetData>
    <row r="1" ht="12.75"/>
    <row r="2" spans="7:14" ht="19.5" customHeight="1">
      <c r="G2" s="7"/>
      <c r="H2" s="35"/>
      <c r="N2" s="6"/>
    </row>
    <row r="3" spans="2:16" ht="19.5" customHeight="1">
      <c r="B3" s="27" t="s">
        <v>83</v>
      </c>
      <c r="N3" s="31" t="s">
        <v>80</v>
      </c>
      <c r="O3" s="88" t="s">
        <v>98</v>
      </c>
      <c r="P3" s="88"/>
    </row>
    <row r="4" spans="14:15" ht="19.5" customHeight="1">
      <c r="N4" s="31" t="s">
        <v>30</v>
      </c>
      <c r="O4" s="57" t="s">
        <v>81</v>
      </c>
    </row>
    <row r="5" ht="19.5" customHeight="1"/>
    <row r="6" ht="7.5" customHeight="1"/>
    <row r="7" spans="2:15" ht="19.5" customHeight="1">
      <c r="B7" s="4" t="s">
        <v>84</v>
      </c>
      <c r="F7" s="6" t="str">
        <f>IF(S54=1,"modello con/senza cornice",LOOKUP(S54,S55:S57,U55:U57))</f>
        <v>(a scomparsa senza cornice)</v>
      </c>
      <c r="G7" s="6"/>
      <c r="H7" s="6"/>
      <c r="I7" s="6">
        <f>IF(S54=1,"Selezionare modello","")</f>
      </c>
      <c r="J7" s="12" t="s">
        <v>0</v>
      </c>
      <c r="K7" s="13">
        <f>IF(S54=1,"",IF(X54=1,"",IF(C13="","",IF(S63=1,"",C13/1000*LOOKUP(S63,S65:S70,Y65:Y70)))))</f>
        <v>0.062484252000000004</v>
      </c>
      <c r="L7" s="9" t="s">
        <v>1</v>
      </c>
      <c r="M7" s="9"/>
      <c r="N7" s="9" t="s">
        <v>2</v>
      </c>
      <c r="O7" s="9"/>
    </row>
    <row r="8" ht="7.5" customHeight="1"/>
    <row r="9" spans="2:16" ht="19.5" customHeight="1">
      <c r="B9" s="4" t="s">
        <v>85</v>
      </c>
      <c r="F9" s="6" t="s">
        <v>91</v>
      </c>
      <c r="G9" s="6"/>
      <c r="H9" s="6"/>
      <c r="I9" s="6">
        <f>IF(X54=1,"Selezionare larghezza slot","")</f>
      </c>
      <c r="J9" s="1" t="s">
        <v>24</v>
      </c>
      <c r="K9" s="28">
        <f>IF(K7="","",C15/K7/3600)</f>
        <v>3.7787298967924126</v>
      </c>
      <c r="L9" s="2" t="s">
        <v>25</v>
      </c>
      <c r="M9" s="2"/>
      <c r="N9" s="2" t="s">
        <v>26</v>
      </c>
      <c r="O9" s="2"/>
      <c r="P9" s="9"/>
    </row>
    <row r="10" ht="7.5" customHeight="1"/>
    <row r="11" spans="2:16" ht="19.5" customHeight="1">
      <c r="B11" s="4" t="s">
        <v>40</v>
      </c>
      <c r="F11" s="5" t="s">
        <v>47</v>
      </c>
      <c r="G11" s="5"/>
      <c r="H11" s="5"/>
      <c r="I11" s="6">
        <f>IF(S63=S64,"Selezionare numero di feritoie","")</f>
      </c>
      <c r="J11" s="29" t="s">
        <v>27</v>
      </c>
      <c r="K11" s="30">
        <f>IF(K7="","",T79*(C15/(T78*K7*3600))^2)</f>
        <v>10.459423171557106</v>
      </c>
      <c r="L11" s="2" t="s">
        <v>28</v>
      </c>
      <c r="M11" s="2"/>
      <c r="N11" s="2" t="s">
        <v>29</v>
      </c>
      <c r="O11" s="2"/>
      <c r="P11" s="2"/>
    </row>
    <row r="12" ht="7.5" customHeight="1">
      <c r="B12" s="4"/>
    </row>
    <row r="13" spans="2:17" ht="19.5" customHeight="1">
      <c r="B13" s="7" t="s">
        <v>44</v>
      </c>
      <c r="C13" s="56">
        <v>1500</v>
      </c>
      <c r="D13" s="5" t="s">
        <v>45</v>
      </c>
      <c r="E13" s="5"/>
      <c r="F13" s="6" t="s">
        <v>46</v>
      </c>
      <c r="G13" s="6"/>
      <c r="H13" s="6"/>
      <c r="I13" s="6">
        <f>IF(C13="","Selezionare la lunghezza","")</f>
      </c>
      <c r="J13" s="1" t="s">
        <v>33</v>
      </c>
      <c r="K13" s="30">
        <f>IF(K7="","",IF(C15="","",IF((T82+T83*LOG((C15*1000/C13)/(3600*$U$63^$T$80))-T84*LOG(K7*1000/C13))&lt;15,"&lt;15",T82+T83*LOG((C15*1000/C13)/(3600*$U$63^$T$80))-T84*LOG(K7*1000/C13))))</f>
        <v>25.030125028763145</v>
      </c>
      <c r="L13" s="2"/>
      <c r="M13" s="2"/>
      <c r="N13" s="2" t="s">
        <v>104</v>
      </c>
      <c r="O13" s="2"/>
      <c r="P13" s="2"/>
      <c r="Q13" s="33">
        <f>IF(K13="","",IF(K13="&lt;15","",IF(K13&gt;=40.5,"&gt;40!","")))</f>
      </c>
    </row>
    <row r="14" ht="7.5" customHeight="1"/>
    <row r="15" spans="2:14" ht="19.5" customHeight="1">
      <c r="B15" s="7" t="s">
        <v>3</v>
      </c>
      <c r="C15" s="39">
        <v>850</v>
      </c>
      <c r="D15" s="5" t="s">
        <v>4</v>
      </c>
      <c r="E15" s="5"/>
      <c r="F15" s="5" t="s">
        <v>5</v>
      </c>
      <c r="G15" s="5"/>
      <c r="H15" s="5"/>
      <c r="I15" s="34">
        <f>IF(C15="","Selezionare la portata","")</f>
      </c>
      <c r="J15" s="69" t="s">
        <v>99</v>
      </c>
      <c r="K15" s="6">
        <f>$T$81/100</f>
        <v>0.15</v>
      </c>
      <c r="L15" s="64" t="s">
        <v>25</v>
      </c>
      <c r="N15" s="72" t="s">
        <v>102</v>
      </c>
    </row>
    <row r="16" ht="7.5" customHeight="1"/>
    <row r="17" spans="2:14" ht="19.5" customHeight="1">
      <c r="B17" s="8" t="s">
        <v>6</v>
      </c>
      <c r="D17" s="5" t="s">
        <v>7</v>
      </c>
      <c r="E17" s="5"/>
      <c r="F17" s="5" t="s">
        <v>8</v>
      </c>
      <c r="G17" s="5"/>
      <c r="H17" s="5"/>
      <c r="I17" s="9" t="str">
        <f>LOOKUP(AK65,AK66:AK70,AM66:AM70)</f>
        <v>Diffusione isoterma</v>
      </c>
      <c r="J17" s="4" t="s">
        <v>100</v>
      </c>
      <c r="K17" s="35">
        <f>IF(K7="","",(T97*T98)*0.2/(T81/100))</f>
        <v>4.03720503742793</v>
      </c>
      <c r="L17" s="2" t="s">
        <v>16</v>
      </c>
      <c r="N17" s="71" t="s">
        <v>103</v>
      </c>
    </row>
    <row r="18" spans="2:8" ht="7.5" customHeight="1">
      <c r="B18" s="8"/>
      <c r="C18" s="10"/>
      <c r="D18" s="5"/>
      <c r="E18" s="5"/>
      <c r="F18" s="5"/>
      <c r="G18" s="5"/>
      <c r="H18" s="5"/>
    </row>
    <row r="19" spans="2:17" ht="19.5" customHeight="1">
      <c r="B19" s="7" t="s">
        <v>15</v>
      </c>
      <c r="C19" s="11">
        <f>2.4+T77/10</f>
        <v>3.5999999999999996</v>
      </c>
      <c r="D19" s="5" t="s">
        <v>16</v>
      </c>
      <c r="E19" s="5"/>
      <c r="F19" s="5" t="s">
        <v>17</v>
      </c>
      <c r="G19" s="5"/>
      <c r="H19" s="5"/>
      <c r="J19" s="1" t="str">
        <f>IF(AK73=AK74,"L","x")</f>
        <v>x</v>
      </c>
      <c r="K19" s="28">
        <f>IF(AD65=AD67,"",IF(AD65=AD68,"",IF(C15="","",IF(C13="","",IF(S63=S64,"",IF(AK73=AK74,T85*(C15/(T78*K7*3600)),T95))))))</f>
      </c>
      <c r="L19" s="2" t="s">
        <v>16</v>
      </c>
      <c r="M19" s="2"/>
      <c r="N19" s="2" t="str">
        <f>IF(AK73=AK74,"lancio con vm = 0,2 m/s","componente orizzontale di lancio")</f>
        <v>componente orizzontale di lancio</v>
      </c>
      <c r="O19" s="2"/>
      <c r="P19" s="2"/>
      <c r="Q19" s="33">
        <f>IF(K23="","",IF(C15=0,"",IF(K21=0,CONCATENATE("&lt;",ROUND(T89,2)),IF(K23&gt;0.21,"&gt;0,2!",""))))</f>
      </c>
    </row>
    <row r="20" spans="2:8" ht="7.5" customHeight="1">
      <c r="B20" s="7"/>
      <c r="C20" s="11"/>
      <c r="D20" s="5"/>
      <c r="E20" s="5"/>
      <c r="F20" s="5"/>
      <c r="G20" s="5"/>
      <c r="H20" s="5"/>
    </row>
    <row r="21" spans="2:17" ht="19.5" customHeight="1">
      <c r="B21" s="7"/>
      <c r="C21" s="11"/>
      <c r="D21" s="5"/>
      <c r="E21" s="5"/>
      <c r="F21" s="5"/>
      <c r="G21" s="5"/>
      <c r="H21" s="5"/>
      <c r="J21" s="1" t="s">
        <v>34</v>
      </c>
      <c r="K21" s="28">
        <f>IF(S63=S64,"",IF(C13="","",IF(K19="","",IF(AK73=AK74,IF(((K19-C27/2)*T86)&lt;0,0,(K19-C27/2)*T86),T96))))</f>
      </c>
      <c r="L21" s="2" t="s">
        <v>16</v>
      </c>
      <c r="M21" s="2"/>
      <c r="N21" s="2" t="s">
        <v>35</v>
      </c>
      <c r="O21" s="2"/>
      <c r="P21" s="2"/>
      <c r="Q21" s="38">
        <f>IF(K25="","",IF(K25="!!!","&gt;H!",IF(K25&gt;T91,"&gt;H-1,8!","")))</f>
      </c>
    </row>
    <row r="22" spans="2:8" ht="7.5" customHeight="1">
      <c r="B22" s="7"/>
      <c r="C22" s="11"/>
      <c r="D22" s="5"/>
      <c r="E22" s="5"/>
      <c r="F22" s="7"/>
      <c r="G22" s="5"/>
      <c r="H22" s="5"/>
    </row>
    <row r="23" spans="2:17" ht="19.5" customHeight="1">
      <c r="B23" s="7" t="s">
        <v>18</v>
      </c>
      <c r="C23" s="11">
        <f>0.4+W79/10</f>
        <v>3</v>
      </c>
      <c r="D23" s="5" t="s">
        <v>95</v>
      </c>
      <c r="E23" s="5"/>
      <c r="F23" s="7" t="s">
        <v>18</v>
      </c>
      <c r="G23" s="11">
        <f>0.4+AB79/10</f>
        <v>3</v>
      </c>
      <c r="H23" s="5" t="s">
        <v>95</v>
      </c>
      <c r="J23" s="1" t="s">
        <v>36</v>
      </c>
      <c r="K23" s="32">
        <f>IF(K21="","",IF(S63=S64,"",IF(C15="","",IF(C15=0,"",IF(K21=0,"!!!",0.2*(C27/2+K21)/(C27/2+C19-1.8))))))</f>
      </c>
      <c r="L23" s="2" t="s">
        <v>25</v>
      </c>
      <c r="M23" s="2"/>
      <c r="N23" s="2" t="s">
        <v>37</v>
      </c>
      <c r="O23" s="2"/>
      <c r="P23" s="2"/>
      <c r="Q23" s="41">
        <f>IF($K$27="","",IF(C15=0,"",IF($AG$92=$AF$94,"","Valutato alla distanza L")))</f>
      </c>
    </row>
    <row r="24" spans="2:8" ht="7.5" customHeight="1">
      <c r="B24" s="7"/>
      <c r="C24" s="11"/>
      <c r="D24" s="5"/>
      <c r="E24" s="5"/>
      <c r="F24" s="7"/>
      <c r="G24" s="5"/>
      <c r="H24" s="5"/>
    </row>
    <row r="25" spans="2:17" ht="19.5" customHeight="1">
      <c r="B25" s="7" t="s">
        <v>79</v>
      </c>
      <c r="C25" s="11">
        <f>0.4+W80/10</f>
        <v>1.5</v>
      </c>
      <c r="D25" s="5" t="s">
        <v>95</v>
      </c>
      <c r="E25" s="5"/>
      <c r="F25" s="7" t="s">
        <v>79</v>
      </c>
      <c r="G25" s="11">
        <f>0.4+AB80/10</f>
        <v>1.5</v>
      </c>
      <c r="H25" s="5" t="s">
        <v>95</v>
      </c>
      <c r="J25" s="1" t="s">
        <v>38</v>
      </c>
      <c r="K25" s="37">
        <f>IF(AD65=AD66,"",IF(C13="","",IF(S63=S64,"",IF(C15="","",IF(T87="","",IF((T87*T88*T90*C15/(T78*K7*3600))&gt;C19,"!!!",T87*T88*T90*C15/(T78*K7*3600)))))))</f>
      </c>
      <c r="L25" s="2" t="s">
        <v>16</v>
      </c>
      <c r="M25" s="2"/>
      <c r="N25" s="2" t="s">
        <v>39</v>
      </c>
      <c r="O25" s="2"/>
      <c r="P25" s="2"/>
      <c r="Q25" s="41">
        <f>IF($K$27="","",IF(C15=0,"",IF($AG$92=$AF$94,"","Valutato alla distanza L")))</f>
      </c>
    </row>
    <row r="26" spans="2:8" ht="7.5" customHeight="1">
      <c r="B26" s="7"/>
      <c r="C26" s="11"/>
      <c r="D26" s="5"/>
      <c r="E26" s="5"/>
      <c r="F26" s="7"/>
      <c r="G26" s="5"/>
      <c r="H26" s="5"/>
    </row>
    <row r="27" spans="2:16" ht="19.5" customHeight="1">
      <c r="B27" s="7"/>
      <c r="C27" s="11"/>
      <c r="D27" s="5"/>
      <c r="E27" s="5"/>
      <c r="F27" s="7"/>
      <c r="G27" s="5"/>
      <c r="H27" s="5"/>
      <c r="J27" s="40" t="s">
        <v>42</v>
      </c>
      <c r="K27" s="42">
        <f>IF(C15=0,"",IF(C13="","",IF(S63=S64,"",IF(AD65=AD68,"",IF(AD65=AD67,"",IF(AK73=AK75,"",IF(K21="","",IF(K21=0,(W90*K7+W91)*K19^W89,(W90*K7+W91)*(C27/2+K21)^W89))))))))</f>
      </c>
      <c r="L27" s="2"/>
      <c r="M27" s="2"/>
      <c r="N27" s="2" t="s">
        <v>75</v>
      </c>
      <c r="O27" s="2"/>
      <c r="P27" s="2"/>
    </row>
    <row r="28" spans="2:8" ht="7.5" customHeight="1">
      <c r="B28" s="8"/>
      <c r="C28" s="10"/>
      <c r="D28" s="5"/>
      <c r="E28" s="5"/>
      <c r="F28" s="5"/>
      <c r="G28" s="5"/>
      <c r="H28" s="5"/>
    </row>
    <row r="29" spans="2:16" ht="19.5" customHeight="1">
      <c r="B29" s="8"/>
      <c r="C29" s="10"/>
      <c r="D29" s="5"/>
      <c r="E29" s="5"/>
      <c r="F29" s="5"/>
      <c r="G29" s="5"/>
      <c r="H29" s="5"/>
      <c r="J29" s="1" t="s">
        <v>43</v>
      </c>
      <c r="K29" s="43">
        <f>IF(C15=0,"",IF(C15="","",IF(C13="","",IF(S63=S64,"",IF(AD65=AD68,"",IF(AD65=AD67,"",IF(AK73=AK75,"",IF(K21=0,(W93*K7+W94)*K19^W92,(W93*K7+W94)*(C27/2+K21)^W92))))))))</f>
      </c>
      <c r="L29" s="2"/>
      <c r="M29" s="2"/>
      <c r="N29" s="2" t="s">
        <v>82</v>
      </c>
      <c r="O29" s="2"/>
      <c r="P29" s="2"/>
    </row>
    <row r="30" spans="2:8" ht="7.5" customHeight="1">
      <c r="B30" s="8"/>
      <c r="C30" s="10"/>
      <c r="D30" s="5"/>
      <c r="E30" s="5"/>
      <c r="F30" s="5"/>
      <c r="G30" s="5"/>
      <c r="H30" s="5"/>
    </row>
    <row r="31" spans="9:14" ht="19.5" customHeight="1">
      <c r="I31" s="6"/>
      <c r="J31" s="79" t="s">
        <v>121</v>
      </c>
      <c r="K31" s="80">
        <f>K11*1.6</f>
        <v>16.735077074491368</v>
      </c>
      <c r="L31" s="81" t="s">
        <v>28</v>
      </c>
      <c r="M31" s="81"/>
      <c r="N31" s="81" t="s">
        <v>120</v>
      </c>
    </row>
    <row r="32" ht="7.5" customHeight="1">
      <c r="I32" s="6"/>
    </row>
    <row r="33" spans="9:14" ht="19.5" customHeight="1">
      <c r="I33" s="6"/>
      <c r="J33" s="84" t="s">
        <v>126</v>
      </c>
      <c r="K33" s="80">
        <f>(T82+T83*LOG((C15*1000/C13)/(3600*$U$63^$T$80))-T84*LOG(K7*1000/C13)+4)</f>
        <v>29.030125028763145</v>
      </c>
      <c r="L33" s="81"/>
      <c r="M33" s="81"/>
      <c r="N33" s="81" t="s">
        <v>127</v>
      </c>
    </row>
    <row r="34" ht="7.5" customHeight="1">
      <c r="I34" s="6"/>
    </row>
    <row r="35" ht="19.5" customHeight="1">
      <c r="I35" s="6"/>
    </row>
    <row r="36" ht="7.5" customHeight="1">
      <c r="I36" s="6"/>
    </row>
    <row r="37" ht="19.5" customHeight="1">
      <c r="I37" s="6"/>
    </row>
    <row r="38" ht="7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>
      <c r="J45" s="63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spans="3:26" ht="13.5" thickBot="1">
      <c r="C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Z53" s="4" t="s">
        <v>110</v>
      </c>
    </row>
    <row r="54" spans="3:47" ht="13.5" thickBot="1">
      <c r="C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S54" s="15">
        <v>2</v>
      </c>
      <c r="X54" s="15">
        <v>4</v>
      </c>
      <c r="Z54" s="3">
        <f>LOOKUP($X$54,X55:X58,Z55:Z58)</f>
        <v>0.3125</v>
      </c>
      <c r="AA54" s="4" t="s">
        <v>111</v>
      </c>
      <c r="AC54" s="25" t="s">
        <v>44</v>
      </c>
      <c r="AD54" s="19">
        <v>300</v>
      </c>
      <c r="AE54" s="19">
        <f>+AD54+100</f>
        <v>400</v>
      </c>
      <c r="AF54" s="19">
        <f aca="true" t="shared" si="0" ref="AF54:AU54">+AE54+100</f>
        <v>500</v>
      </c>
      <c r="AG54" s="19">
        <f t="shared" si="0"/>
        <v>600</v>
      </c>
      <c r="AH54" s="19">
        <f t="shared" si="0"/>
        <v>700</v>
      </c>
      <c r="AI54" s="19">
        <f t="shared" si="0"/>
        <v>800</v>
      </c>
      <c r="AJ54" s="19">
        <f t="shared" si="0"/>
        <v>900</v>
      </c>
      <c r="AK54" s="19">
        <f t="shared" si="0"/>
        <v>1000</v>
      </c>
      <c r="AL54" s="19">
        <f t="shared" si="0"/>
        <v>1100</v>
      </c>
      <c r="AM54" s="19">
        <f t="shared" si="0"/>
        <v>1200</v>
      </c>
      <c r="AN54" s="19">
        <f t="shared" si="0"/>
        <v>1300</v>
      </c>
      <c r="AO54" s="19">
        <f t="shared" si="0"/>
        <v>1400</v>
      </c>
      <c r="AP54" s="19">
        <f t="shared" si="0"/>
        <v>1500</v>
      </c>
      <c r="AQ54" s="19">
        <f t="shared" si="0"/>
        <v>1600</v>
      </c>
      <c r="AR54" s="19">
        <f t="shared" si="0"/>
        <v>1700</v>
      </c>
      <c r="AS54" s="19">
        <f>+AR54+100</f>
        <v>1800</v>
      </c>
      <c r="AT54" s="19">
        <f t="shared" si="0"/>
        <v>1900</v>
      </c>
      <c r="AU54" s="19">
        <f t="shared" si="0"/>
        <v>2000</v>
      </c>
    </row>
    <row r="55" spans="3:24" ht="12.75">
      <c r="C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S55" s="3">
        <v>1</v>
      </c>
      <c r="U55" s="6" t="s">
        <v>90</v>
      </c>
      <c r="X55" s="3">
        <v>1</v>
      </c>
    </row>
    <row r="56" spans="3:26" ht="12.75">
      <c r="C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S56" s="3">
        <v>2</v>
      </c>
      <c r="T56" s="6" t="s">
        <v>86</v>
      </c>
      <c r="U56" s="6" t="s">
        <v>88</v>
      </c>
      <c r="X56" s="3">
        <v>2</v>
      </c>
      <c r="Y56" s="3">
        <v>20</v>
      </c>
      <c r="Z56" s="3">
        <v>0.225</v>
      </c>
    </row>
    <row r="57" spans="3:26" ht="12.75">
      <c r="C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S57" s="3">
        <v>3</v>
      </c>
      <c r="T57" s="6" t="s">
        <v>87</v>
      </c>
      <c r="U57" s="6" t="s">
        <v>89</v>
      </c>
      <c r="X57" s="3">
        <v>3</v>
      </c>
      <c r="Y57" s="3">
        <v>30</v>
      </c>
      <c r="Z57" s="3">
        <v>0.2625</v>
      </c>
    </row>
    <row r="58" spans="3:26" ht="12.75">
      <c r="C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X58" s="3">
        <v>4</v>
      </c>
      <c r="Y58" s="3">
        <v>40</v>
      </c>
      <c r="Z58" s="3">
        <v>0.3125</v>
      </c>
    </row>
    <row r="59" spans="3:17" ht="12.75">
      <c r="C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3:24" ht="12.75">
      <c r="C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V60" s="82" t="s">
        <v>123</v>
      </c>
      <c r="W60" s="82" t="s">
        <v>124</v>
      </c>
      <c r="X60" s="82" t="s">
        <v>125</v>
      </c>
    </row>
    <row r="61" spans="3:24" ht="12.75">
      <c r="C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83"/>
      <c r="Q61" s="54"/>
      <c r="V61" s="45">
        <v>0.00880110312580772</v>
      </c>
      <c r="W61" s="45">
        <v>0.01276930254699855</v>
      </c>
      <c r="X61" s="46">
        <v>0.0175058186457075</v>
      </c>
    </row>
    <row r="62" spans="3:17" ht="13.5" thickBot="1">
      <c r="C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83"/>
      <c r="Q62" s="54"/>
    </row>
    <row r="63" spans="3:24" ht="13.5" thickBot="1">
      <c r="C63" s="35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83"/>
      <c r="Q63" s="54"/>
      <c r="S63" s="15">
        <v>5</v>
      </c>
      <c r="T63" s="4" t="s">
        <v>40</v>
      </c>
      <c r="U63" s="3">
        <f>LOOKUP(S63,S64:S70,T64:T70)</f>
        <v>4</v>
      </c>
      <c r="V63" s="90" t="s">
        <v>0</v>
      </c>
      <c r="W63" s="90"/>
      <c r="X63" s="90"/>
    </row>
    <row r="64" spans="16:39" ht="13.5" thickBot="1">
      <c r="P64" s="83"/>
      <c r="S64" s="3">
        <v>1</v>
      </c>
      <c r="V64" s="44">
        <v>20</v>
      </c>
      <c r="W64" s="44">
        <v>30</v>
      </c>
      <c r="X64" s="44">
        <v>40</v>
      </c>
      <c r="Y64" s="25" t="s">
        <v>0</v>
      </c>
      <c r="Z64" s="25" t="s">
        <v>122</v>
      </c>
      <c r="AA64" s="44" t="s">
        <v>61</v>
      </c>
      <c r="AB64" s="49" t="s">
        <v>67</v>
      </c>
      <c r="AD64" s="3" t="s">
        <v>41</v>
      </c>
      <c r="AL64" s="85" t="s">
        <v>9</v>
      </c>
      <c r="AM64" s="85"/>
    </row>
    <row r="65" spans="16:44" ht="13.5" thickBot="1">
      <c r="P65" s="83"/>
      <c r="S65" s="3">
        <v>2</v>
      </c>
      <c r="T65" s="3">
        <v>1</v>
      </c>
      <c r="V65" s="45">
        <v>0.005207021</v>
      </c>
      <c r="W65" s="45">
        <v>0.007810532</v>
      </c>
      <c r="X65" s="46">
        <v>0.010414042</v>
      </c>
      <c r="Y65" s="47">
        <f aca="true" t="shared" si="1" ref="Y65:Y70">IF($X$54=$X$55,"",IF($X$54=$X$56,V65,IF($X$54=$X$57,W65,X65)))</f>
        <v>0.010414042</v>
      </c>
      <c r="Z65" s="47"/>
      <c r="AA65" s="46">
        <v>1.8</v>
      </c>
      <c r="AB65" s="46">
        <v>1</v>
      </c>
      <c r="AD65" s="24">
        <v>2</v>
      </c>
      <c r="AF65" s="44" t="s">
        <v>31</v>
      </c>
      <c r="AG65" s="44" t="s">
        <v>32</v>
      </c>
      <c r="AH65" s="44" t="s">
        <v>54</v>
      </c>
      <c r="AI65" s="44" t="s">
        <v>55</v>
      </c>
      <c r="AK65" s="15">
        <v>3</v>
      </c>
      <c r="AL65" s="16" t="s">
        <v>6</v>
      </c>
      <c r="AM65" s="17"/>
      <c r="AN65" s="49" t="s">
        <v>62</v>
      </c>
      <c r="AO65" s="55" t="s">
        <v>64</v>
      </c>
      <c r="AP65" s="25" t="s">
        <v>76</v>
      </c>
      <c r="AQ65" s="25" t="s">
        <v>77</v>
      </c>
      <c r="AR65" s="25" t="s">
        <v>78</v>
      </c>
    </row>
    <row r="66" spans="6:44" ht="12.75"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S66" s="3">
        <v>3</v>
      </c>
      <c r="T66" s="3">
        <v>2</v>
      </c>
      <c r="V66" s="45">
        <f>V$65*$T66</f>
        <v>0.010414042</v>
      </c>
      <c r="W66" s="45">
        <f>W$65*$T66</f>
        <v>0.015621064</v>
      </c>
      <c r="X66" s="45">
        <f>X$65*$T66</f>
        <v>0.020828084</v>
      </c>
      <c r="Y66" s="47">
        <f t="shared" si="1"/>
        <v>0.020828084</v>
      </c>
      <c r="Z66" s="47"/>
      <c r="AA66" s="46">
        <v>2.1</v>
      </c>
      <c r="AB66" s="46">
        <v>1.1</v>
      </c>
      <c r="AD66" s="18">
        <v>1</v>
      </c>
      <c r="AE66" s="44" t="s">
        <v>49</v>
      </c>
      <c r="AF66" s="46">
        <v>1.56027957</v>
      </c>
      <c r="AG66" s="46">
        <v>3.522415923</v>
      </c>
      <c r="AH66" s="46">
        <v>1.9</v>
      </c>
      <c r="AI66" s="46">
        <v>8</v>
      </c>
      <c r="AK66" s="20">
        <v>1</v>
      </c>
      <c r="AL66" s="21">
        <v>-10</v>
      </c>
      <c r="AM66" s="22" t="s">
        <v>10</v>
      </c>
      <c r="AN66" s="50">
        <v>1.2</v>
      </c>
      <c r="AP66" s="19">
        <v>0.18856180831641264</v>
      </c>
      <c r="AQ66" s="19">
        <v>1</v>
      </c>
      <c r="AR66" s="19">
        <v>0.85</v>
      </c>
    </row>
    <row r="67" spans="19:44" ht="12.75">
      <c r="S67" s="3">
        <v>4</v>
      </c>
      <c r="T67" s="3">
        <v>3</v>
      </c>
      <c r="V67" s="45">
        <f aca="true" t="shared" si="2" ref="V67:X70">V$65*$T67</f>
        <v>0.015621063000000001</v>
      </c>
      <c r="W67" s="45">
        <f t="shared" si="2"/>
        <v>0.023431596</v>
      </c>
      <c r="X67" s="45">
        <f t="shared" si="2"/>
        <v>0.031242126000000002</v>
      </c>
      <c r="Y67" s="47">
        <f t="shared" si="1"/>
        <v>0.031242126000000002</v>
      </c>
      <c r="Z67" s="47"/>
      <c r="AA67" s="46">
        <v>2.5</v>
      </c>
      <c r="AB67" s="46">
        <v>1.2</v>
      </c>
      <c r="AD67" s="19">
        <v>2</v>
      </c>
      <c r="AE67" s="44" t="s">
        <v>48</v>
      </c>
      <c r="AF67" s="46">
        <v>2.057201008</v>
      </c>
      <c r="AG67" s="46">
        <v>11.22495725</v>
      </c>
      <c r="AH67" s="46">
        <v>1.3</v>
      </c>
      <c r="AI67" s="46">
        <v>3</v>
      </c>
      <c r="AK67" s="17">
        <v>2</v>
      </c>
      <c r="AL67" s="21">
        <v>-5</v>
      </c>
      <c r="AM67" s="22" t="s">
        <v>10</v>
      </c>
      <c r="AN67" s="50">
        <v>1.1</v>
      </c>
      <c r="AP67" s="19">
        <v>0.06850861547828142</v>
      </c>
      <c r="AQ67" s="19">
        <v>1</v>
      </c>
      <c r="AR67" s="19">
        <v>0.9</v>
      </c>
    </row>
    <row r="68" spans="19:44" ht="12.75">
      <c r="S68" s="3">
        <v>5</v>
      </c>
      <c r="T68" s="3">
        <v>4</v>
      </c>
      <c r="V68" s="45">
        <f t="shared" si="2"/>
        <v>0.020828084</v>
      </c>
      <c r="W68" s="45">
        <f t="shared" si="2"/>
        <v>0.031242128</v>
      </c>
      <c r="X68" s="45">
        <f t="shared" si="2"/>
        <v>0.041656168</v>
      </c>
      <c r="Y68" s="47">
        <f>IF($X$54=$X$55,"",IF($X$54=$X$56,V68,IF($X$54=$X$57,W68,X68)))</f>
        <v>0.041656168</v>
      </c>
      <c r="Z68" s="47"/>
      <c r="AA68" s="46">
        <v>2.8</v>
      </c>
      <c r="AB68" s="46">
        <v>1.3</v>
      </c>
      <c r="AD68" s="19">
        <v>3</v>
      </c>
      <c r="AE68" s="44" t="s">
        <v>50</v>
      </c>
      <c r="AF68" s="46">
        <v>1</v>
      </c>
      <c r="AG68" s="46">
        <v>0.727026874</v>
      </c>
      <c r="AH68" s="46">
        <v>5.9</v>
      </c>
      <c r="AI68" s="46">
        <v>21</v>
      </c>
      <c r="AK68" s="17">
        <v>3</v>
      </c>
      <c r="AL68" s="21">
        <v>0</v>
      </c>
      <c r="AM68" s="22" t="s">
        <v>11</v>
      </c>
      <c r="AN68" s="50">
        <v>1</v>
      </c>
      <c r="AP68" s="19">
        <v>0</v>
      </c>
      <c r="AQ68" s="19">
        <v>1</v>
      </c>
      <c r="AR68" s="19">
        <v>1</v>
      </c>
    </row>
    <row r="69" spans="19:44" ht="12.75">
      <c r="S69" s="3">
        <v>6</v>
      </c>
      <c r="T69" s="3">
        <v>5</v>
      </c>
      <c r="V69" s="45">
        <f t="shared" si="2"/>
        <v>0.026035105</v>
      </c>
      <c r="W69" s="45">
        <f t="shared" si="2"/>
        <v>0.03905266</v>
      </c>
      <c r="X69" s="45">
        <f t="shared" si="2"/>
        <v>0.05207021</v>
      </c>
      <c r="Y69" s="47">
        <f t="shared" si="1"/>
        <v>0.05207021</v>
      </c>
      <c r="Z69" s="47"/>
      <c r="AA69" s="46">
        <v>3.2</v>
      </c>
      <c r="AB69" s="46">
        <v>1.4</v>
      </c>
      <c r="AK69" s="17">
        <v>4</v>
      </c>
      <c r="AL69" s="21" t="s">
        <v>12</v>
      </c>
      <c r="AM69" s="22" t="s">
        <v>13</v>
      </c>
      <c r="AN69" s="50">
        <v>0.85</v>
      </c>
      <c r="AO69" s="48">
        <v>1.5</v>
      </c>
      <c r="AP69" s="19">
        <v>-0.06850861547828142</v>
      </c>
      <c r="AQ69" s="19">
        <v>1</v>
      </c>
      <c r="AR69" s="19">
        <v>1.1</v>
      </c>
    </row>
    <row r="70" spans="19:44" ht="12.75">
      <c r="S70" s="3">
        <v>7</v>
      </c>
      <c r="T70" s="3">
        <v>6</v>
      </c>
      <c r="V70" s="45">
        <f t="shared" si="2"/>
        <v>0.031242126000000002</v>
      </c>
      <c r="W70" s="45">
        <f t="shared" si="2"/>
        <v>0.046863192</v>
      </c>
      <c r="X70" s="45">
        <f t="shared" si="2"/>
        <v>0.062484252000000004</v>
      </c>
      <c r="Y70" s="47">
        <f t="shared" si="1"/>
        <v>0.062484252000000004</v>
      </c>
      <c r="Z70" s="47"/>
      <c r="AA70" s="46">
        <v>3.5</v>
      </c>
      <c r="AB70" s="46">
        <v>1.5</v>
      </c>
      <c r="AK70" s="17">
        <v>5</v>
      </c>
      <c r="AL70" s="21" t="s">
        <v>14</v>
      </c>
      <c r="AM70" s="22" t="s">
        <v>13</v>
      </c>
      <c r="AN70" s="50">
        <v>0.7</v>
      </c>
      <c r="AO70" s="48">
        <v>1</v>
      </c>
      <c r="AP70" s="19">
        <v>-0.13827865943203596</v>
      </c>
      <c r="AQ70" s="19">
        <v>1</v>
      </c>
      <c r="AR70" s="19">
        <v>1.2</v>
      </c>
    </row>
    <row r="71" spans="22:28" ht="12.75">
      <c r="V71" s="59"/>
      <c r="W71" s="59"/>
      <c r="X71" s="59"/>
      <c r="Y71" s="60"/>
      <c r="Z71" s="60"/>
      <c r="AA71" s="61"/>
      <c r="AB71" s="61"/>
    </row>
    <row r="72" spans="22:39" ht="13.5" thickBot="1">
      <c r="V72" s="59"/>
      <c r="W72" s="59"/>
      <c r="X72" s="59"/>
      <c r="Y72" s="60"/>
      <c r="Z72" s="60"/>
      <c r="AA72" s="61"/>
      <c r="AB72" s="61"/>
      <c r="AK72" s="23" t="s">
        <v>20</v>
      </c>
      <c r="AL72" s="14"/>
      <c r="AM72" s="14"/>
    </row>
    <row r="73" spans="22:38" ht="13.5" thickBot="1">
      <c r="V73" s="59"/>
      <c r="W73" s="59"/>
      <c r="X73" s="59"/>
      <c r="Y73" s="60"/>
      <c r="Z73" s="60"/>
      <c r="AA73" s="61"/>
      <c r="AB73" s="61"/>
      <c r="AK73" s="24">
        <v>0</v>
      </c>
      <c r="AL73" s="3" t="s">
        <v>21</v>
      </c>
    </row>
    <row r="74" spans="22:39" ht="12.75">
      <c r="V74" s="65" t="s">
        <v>93</v>
      </c>
      <c r="X74" s="64"/>
      <c r="Y74" s="35"/>
      <c r="Z74" s="64"/>
      <c r="AA74" s="65" t="s">
        <v>94</v>
      </c>
      <c r="AB74" s="64"/>
      <c r="AC74" s="64"/>
      <c r="AD74" s="64"/>
      <c r="AK74" s="17">
        <v>1</v>
      </c>
      <c r="AL74" s="19">
        <v>1</v>
      </c>
      <c r="AM74" s="22" t="s">
        <v>22</v>
      </c>
    </row>
    <row r="75" spans="19:39" ht="12.75">
      <c r="S75" s="87" t="s">
        <v>19</v>
      </c>
      <c r="T75" s="87"/>
      <c r="V75" s="58">
        <v>1</v>
      </c>
      <c r="X75" s="66"/>
      <c r="Y75" s="35"/>
      <c r="Z75" s="64"/>
      <c r="AA75" s="58">
        <v>1</v>
      </c>
      <c r="AC75" s="66"/>
      <c r="AD75" s="64"/>
      <c r="AK75" s="17">
        <v>2</v>
      </c>
      <c r="AL75" s="19">
        <v>0.7</v>
      </c>
      <c r="AM75" s="22" t="s">
        <v>23</v>
      </c>
    </row>
    <row r="76" spans="22:30" ht="12.75">
      <c r="V76" s="19">
        <v>1</v>
      </c>
      <c r="W76" s="25" t="s">
        <v>18</v>
      </c>
      <c r="X76" s="5" t="s">
        <v>96</v>
      </c>
      <c r="Y76" s="64"/>
      <c r="Z76" s="64"/>
      <c r="AA76" s="19">
        <v>1</v>
      </c>
      <c r="AB76" s="25" t="s">
        <v>18</v>
      </c>
      <c r="AC76" s="5" t="s">
        <v>96</v>
      </c>
      <c r="AD76" s="64"/>
    </row>
    <row r="77" spans="19:37" ht="13.5" thickBot="1">
      <c r="S77" s="26" t="s">
        <v>15</v>
      </c>
      <c r="T77" s="74">
        <v>12</v>
      </c>
      <c r="V77" s="19">
        <v>2</v>
      </c>
      <c r="W77" s="25" t="s">
        <v>79</v>
      </c>
      <c r="X77" s="5" t="s">
        <v>97</v>
      </c>
      <c r="Y77" s="64"/>
      <c r="Z77" s="64"/>
      <c r="AA77" s="19">
        <v>2</v>
      </c>
      <c r="AB77" s="25" t="s">
        <v>79</v>
      </c>
      <c r="AC77" s="5" t="s">
        <v>97</v>
      </c>
      <c r="AD77" s="64"/>
      <c r="AI77" s="77" t="s">
        <v>118</v>
      </c>
      <c r="AK77" s="23" t="s">
        <v>20</v>
      </c>
    </row>
    <row r="78" spans="19:38" ht="13.5" thickBot="1">
      <c r="S78" s="44" t="s">
        <v>31</v>
      </c>
      <c r="T78" s="62">
        <v>1.84</v>
      </c>
      <c r="V78" s="67" t="s">
        <v>15</v>
      </c>
      <c r="W78" s="17">
        <v>8</v>
      </c>
      <c r="X78" s="64"/>
      <c r="Y78" s="64"/>
      <c r="Z78" s="64"/>
      <c r="AA78" s="67" t="s">
        <v>15</v>
      </c>
      <c r="AB78" s="68">
        <v>28</v>
      </c>
      <c r="AC78" s="64"/>
      <c r="AD78" s="64"/>
      <c r="AI78" s="25">
        <f>LOOKUP($AK$78,AK79:AK83,AI79:AI83)</f>
        <v>1</v>
      </c>
      <c r="AK78" s="24">
        <v>1</v>
      </c>
      <c r="AL78" s="3" t="s">
        <v>21</v>
      </c>
    </row>
    <row r="79" spans="19:38" ht="12.75">
      <c r="S79" s="44" t="s">
        <v>32</v>
      </c>
      <c r="T79" s="62">
        <v>2.48</v>
      </c>
      <c r="V79" s="67" t="s">
        <v>18</v>
      </c>
      <c r="W79" s="17">
        <v>26</v>
      </c>
      <c r="X79" s="64"/>
      <c r="Y79" s="64"/>
      <c r="Z79" s="64"/>
      <c r="AA79" s="67" t="s">
        <v>18</v>
      </c>
      <c r="AB79" s="17">
        <v>26</v>
      </c>
      <c r="AC79" s="64"/>
      <c r="AD79" s="64"/>
      <c r="AI79" s="19">
        <v>1</v>
      </c>
      <c r="AK79" s="3">
        <v>1</v>
      </c>
      <c r="AL79" s="6" t="s">
        <v>105</v>
      </c>
    </row>
    <row r="80" spans="19:38" ht="12.75">
      <c r="S80" s="25" t="s">
        <v>92</v>
      </c>
      <c r="T80" s="62">
        <v>0.1315</v>
      </c>
      <c r="V80" s="67" t="s">
        <v>79</v>
      </c>
      <c r="W80" s="17">
        <v>11</v>
      </c>
      <c r="X80" s="64"/>
      <c r="Y80" s="64"/>
      <c r="Z80" s="64"/>
      <c r="AA80" s="67" t="s">
        <v>79</v>
      </c>
      <c r="AB80" s="17">
        <v>11</v>
      </c>
      <c r="AC80" s="64"/>
      <c r="AD80" s="64"/>
      <c r="AI80" s="19">
        <v>2</v>
      </c>
      <c r="AK80" s="3">
        <v>2</v>
      </c>
      <c r="AL80" s="6" t="s">
        <v>106</v>
      </c>
    </row>
    <row r="81" spans="19:38" ht="14.25">
      <c r="S81" s="44" t="s">
        <v>101</v>
      </c>
      <c r="T81" s="70">
        <v>15</v>
      </c>
      <c r="V81" s="59"/>
      <c r="W81" s="59"/>
      <c r="X81" s="59"/>
      <c r="Y81" s="60"/>
      <c r="Z81" s="60"/>
      <c r="AA81" s="61"/>
      <c r="AB81" s="61"/>
      <c r="AI81" s="19">
        <v>1</v>
      </c>
      <c r="AK81" s="3">
        <v>3</v>
      </c>
      <c r="AL81" s="6" t="s">
        <v>107</v>
      </c>
    </row>
    <row r="82" spans="19:38" ht="12.75">
      <c r="S82" s="44" t="s">
        <v>58</v>
      </c>
      <c r="T82" s="62">
        <v>16</v>
      </c>
      <c r="U82" s="64"/>
      <c r="V82" s="59"/>
      <c r="W82" s="59"/>
      <c r="X82" s="59"/>
      <c r="Y82" s="60"/>
      <c r="Z82" s="60"/>
      <c r="AA82" s="61"/>
      <c r="AB82" s="61"/>
      <c r="AI82" s="19">
        <v>1</v>
      </c>
      <c r="AK82" s="3">
        <v>4</v>
      </c>
      <c r="AL82" s="6" t="s">
        <v>108</v>
      </c>
    </row>
    <row r="83" spans="19:38" ht="12.75">
      <c r="S83" s="44" t="s">
        <v>59</v>
      </c>
      <c r="T83" s="62">
        <v>68</v>
      </c>
      <c r="V83" s="59"/>
      <c r="W83" s="59"/>
      <c r="X83" s="59"/>
      <c r="Y83" s="60"/>
      <c r="Z83" s="60"/>
      <c r="AA83" s="61"/>
      <c r="AB83" s="61"/>
      <c r="AI83" s="19">
        <v>1</v>
      </c>
      <c r="AK83" s="3">
        <v>5</v>
      </c>
      <c r="AL83" s="6" t="s">
        <v>109</v>
      </c>
    </row>
    <row r="84" spans="19:28" ht="12.75">
      <c r="S84" s="44" t="s">
        <v>60</v>
      </c>
      <c r="T84" s="62">
        <v>50</v>
      </c>
      <c r="V84" s="59"/>
      <c r="W84" s="59"/>
      <c r="X84" s="59"/>
      <c r="Y84" s="60"/>
      <c r="Z84" s="60"/>
      <c r="AA84" s="61"/>
      <c r="AB84" s="61"/>
    </row>
    <row r="85" spans="19:28" ht="12.75">
      <c r="S85" s="44" t="s">
        <v>61</v>
      </c>
      <c r="T85" s="19">
        <f>IF(S63=S64,0,LOOKUP(S63,S65:S70,AA65:AA70))</f>
        <v>2.8</v>
      </c>
      <c r="V85" s="59"/>
      <c r="W85" s="59"/>
      <c r="X85" s="59"/>
      <c r="Y85" s="60"/>
      <c r="Z85" s="60"/>
      <c r="AA85" s="61"/>
      <c r="AB85" s="61"/>
    </row>
    <row r="86" spans="19:28" ht="12.75">
      <c r="S86" s="49" t="s">
        <v>62</v>
      </c>
      <c r="T86" s="19">
        <f>LOOKUP(AK65,AK66:AK70,AN66:AN70)</f>
        <v>1</v>
      </c>
      <c r="V86" s="59"/>
      <c r="W86" s="59"/>
      <c r="X86" s="59"/>
      <c r="Y86" s="60"/>
      <c r="Z86" s="60"/>
      <c r="AA86" s="61"/>
      <c r="AB86" s="61"/>
    </row>
    <row r="87" spans="19:20" ht="12.75">
      <c r="S87" s="49" t="s">
        <v>64</v>
      </c>
      <c r="T87" s="19">
        <f>IF(AK65=AK69,AO69,IF(AK65=AK70,AO70,""))</f>
      </c>
    </row>
    <row r="88" spans="19:23" ht="12.75">
      <c r="S88" s="49" t="s">
        <v>67</v>
      </c>
      <c r="T88" s="19">
        <f>LOOKUP(S63,S65:S70,AB65:AB70)</f>
        <v>1.3</v>
      </c>
      <c r="V88" s="86" t="s">
        <v>68</v>
      </c>
      <c r="W88" s="86"/>
    </row>
    <row r="89" spans="19:23" ht="12.75">
      <c r="S89" s="51" t="s">
        <v>63</v>
      </c>
      <c r="T89" s="52">
        <f>0.2*(C27/2)/(C27/2+C19-1.8)</f>
        <v>0</v>
      </c>
      <c r="V89" s="4" t="s">
        <v>69</v>
      </c>
      <c r="W89" s="3">
        <v>-0.491025</v>
      </c>
    </row>
    <row r="90" spans="19:23" ht="12.75">
      <c r="S90" s="25" t="s">
        <v>66</v>
      </c>
      <c r="T90" s="19">
        <v>0.8</v>
      </c>
      <c r="V90" s="4" t="s">
        <v>70</v>
      </c>
      <c r="W90" s="3">
        <v>3.108</v>
      </c>
    </row>
    <row r="91" spans="19:23" ht="12.75">
      <c r="S91" s="25" t="s">
        <v>65</v>
      </c>
      <c r="T91" s="53">
        <f>C19-1.8</f>
        <v>1.7999999999999996</v>
      </c>
      <c r="V91" s="4" t="s">
        <v>71</v>
      </c>
      <c r="W91" s="3">
        <v>0.1787</v>
      </c>
    </row>
    <row r="92" spans="19:23" ht="12.75">
      <c r="S92" s="25" t="s">
        <v>76</v>
      </c>
      <c r="T92" s="19">
        <f>LOOKUP($AK$65,$AK$66:$AK$70,AP66:AP70)</f>
        <v>0</v>
      </c>
      <c r="V92" s="4" t="s">
        <v>72</v>
      </c>
      <c r="W92" s="3">
        <v>0.5</v>
      </c>
    </row>
    <row r="93" spans="19:35" ht="13.5" thickBot="1">
      <c r="S93" s="25" t="s">
        <v>77</v>
      </c>
      <c r="T93" s="19">
        <v>1</v>
      </c>
      <c r="V93" s="4" t="s">
        <v>73</v>
      </c>
      <c r="W93" s="3">
        <v>234.04</v>
      </c>
      <c r="Z93" s="36" t="s">
        <v>51</v>
      </c>
      <c r="AD93" s="89" t="s">
        <v>48</v>
      </c>
      <c r="AE93" s="89"/>
      <c r="AF93" s="89" t="s">
        <v>49</v>
      </c>
      <c r="AG93" s="89"/>
      <c r="AH93" s="89" t="s">
        <v>50</v>
      </c>
      <c r="AI93" s="89"/>
    </row>
    <row r="94" spans="19:35" ht="13.5" thickBot="1">
      <c r="S94" s="25" t="s">
        <v>78</v>
      </c>
      <c r="T94" s="19">
        <f>LOOKUP($AK$65,$AK$66:$AK$70,AR66:AR70)</f>
        <v>1</v>
      </c>
      <c r="V94" s="4" t="s">
        <v>74</v>
      </c>
      <c r="W94" s="3">
        <v>7</v>
      </c>
      <c r="Z94" s="24">
        <v>1</v>
      </c>
      <c r="AB94" s="25" t="s">
        <v>56</v>
      </c>
      <c r="AC94" s="25" t="s">
        <v>57</v>
      </c>
      <c r="AD94" s="25" t="s">
        <v>56</v>
      </c>
      <c r="AE94" s="25" t="s">
        <v>57</v>
      </c>
      <c r="AF94" s="25" t="s">
        <v>56</v>
      </c>
      <c r="AG94" s="25" t="s">
        <v>57</v>
      </c>
      <c r="AH94" s="25" t="s">
        <v>56</v>
      </c>
      <c r="AI94" s="25" t="s">
        <v>57</v>
      </c>
    </row>
    <row r="95" spans="19:35" ht="12.75">
      <c r="S95" s="25" t="s">
        <v>79</v>
      </c>
      <c r="T95" s="19">
        <f>IF(AD65=AD67,"",IF(AD65=AD68,"",IF(C15="","",IF(C13="","",IF(S63=S64,"",0.7*T94*(SQRT(2)/2)*T85*(C15/(T78*K7*3600)))))))</f>
      </c>
      <c r="Z95" s="18">
        <v>1</v>
      </c>
      <c r="AA95" s="48" t="s">
        <v>52</v>
      </c>
      <c r="AB95" s="19">
        <f>IF($AD$65=$AD$67,AD95,IF($AD$65=$AD$66,AF95,AH95))</f>
        <v>1</v>
      </c>
      <c r="AC95" s="19">
        <f>IF($AD$65=$AD$67,AE95,IF($AD$65=$AD$66,AG95,AI95))</f>
        <v>0</v>
      </c>
      <c r="AD95" s="19">
        <v>1</v>
      </c>
      <c r="AE95" s="19">
        <v>0</v>
      </c>
      <c r="AF95" s="19">
        <v>1</v>
      </c>
      <c r="AG95" s="19">
        <v>0</v>
      </c>
      <c r="AH95" s="19">
        <v>1</v>
      </c>
      <c r="AI95" s="19">
        <v>0</v>
      </c>
    </row>
    <row r="96" spans="19:35" ht="12.75">
      <c r="S96" s="25" t="s">
        <v>34</v>
      </c>
      <c r="T96" s="19">
        <f>IF(T95="","",T92*T95^2+T93*T95)</f>
      </c>
      <c r="Z96" s="19">
        <v>2</v>
      </c>
      <c r="AA96" s="48" t="s">
        <v>53</v>
      </c>
      <c r="AB96" s="19">
        <f>IF($AD$65=$AD$67,AD96,IF($AD$65=$AD$66,AF96,AH96))</f>
        <v>1.3</v>
      </c>
      <c r="AC96" s="19">
        <f>IF($AD$65=$AD$67,AE96,IF($AD$65=$AD$66,AG96,AI96))</f>
        <v>3</v>
      </c>
      <c r="AD96" s="19">
        <v>1.3</v>
      </c>
      <c r="AE96" s="19">
        <v>3</v>
      </c>
      <c r="AF96" s="19">
        <v>1.9</v>
      </c>
      <c r="AG96" s="19">
        <v>8</v>
      </c>
      <c r="AH96" s="19">
        <v>5.9</v>
      </c>
      <c r="AI96" s="19">
        <v>21</v>
      </c>
    </row>
    <row r="97" spans="19:20" ht="14.25">
      <c r="S97" s="25" t="s">
        <v>112</v>
      </c>
      <c r="T97" s="73">
        <f>IF(K7="","",Z54*(C15/(T78*K7*3600))^2)</f>
        <v>1.3179716698030628</v>
      </c>
    </row>
    <row r="98" spans="19:33" ht="12.75">
      <c r="S98" s="25" t="s">
        <v>119</v>
      </c>
      <c r="T98" s="78">
        <f>IF(K7="","",INDEX(W104:Y115,V103,X54-1))</f>
        <v>2.29739670999407</v>
      </c>
      <c r="AD98" s="44"/>
      <c r="AE98" s="44" t="s">
        <v>48</v>
      </c>
      <c r="AF98" s="44" t="s">
        <v>49</v>
      </c>
      <c r="AG98" s="44" t="s">
        <v>50</v>
      </c>
    </row>
    <row r="99" spans="30:33" ht="12.75">
      <c r="AD99" s="44" t="s">
        <v>58</v>
      </c>
      <c r="AE99" s="46">
        <v>20</v>
      </c>
      <c r="AF99" s="46">
        <v>15</v>
      </c>
      <c r="AG99" s="46">
        <v>10</v>
      </c>
    </row>
    <row r="100" spans="30:33" ht="12.75">
      <c r="AD100" s="44" t="s">
        <v>59</v>
      </c>
      <c r="AE100" s="46">
        <v>68</v>
      </c>
      <c r="AF100" s="46">
        <v>68</v>
      </c>
      <c r="AG100" s="46">
        <v>68</v>
      </c>
    </row>
    <row r="101" spans="19:33" ht="12.75">
      <c r="S101" s="75"/>
      <c r="T101" s="75"/>
      <c r="U101" s="76"/>
      <c r="W101" s="65" t="s">
        <v>113</v>
      </c>
      <c r="X101" s="65"/>
      <c r="Y101" s="65"/>
      <c r="AD101" s="44" t="s">
        <v>60</v>
      </c>
      <c r="AE101" s="46">
        <v>55.5</v>
      </c>
      <c r="AF101" s="46">
        <v>55.5</v>
      </c>
      <c r="AG101" s="46">
        <v>55.5</v>
      </c>
    </row>
    <row r="102" spans="19:25" ht="12.75">
      <c r="S102" s="76"/>
      <c r="T102" s="76"/>
      <c r="U102" s="76"/>
      <c r="W102" s="69" t="s">
        <v>114</v>
      </c>
      <c r="X102" s="69" t="s">
        <v>115</v>
      </c>
      <c r="Y102" s="69" t="s">
        <v>116</v>
      </c>
    </row>
    <row r="103" spans="19:25" ht="12.75">
      <c r="S103" s="69" t="s">
        <v>117</v>
      </c>
      <c r="T103" s="69" t="s">
        <v>118</v>
      </c>
      <c r="U103" s="76"/>
      <c r="V103" s="36">
        <f>LOOKUP(CONCATENATE(S63-1,AI78),U104:U115,V104:V115)</f>
        <v>7</v>
      </c>
      <c r="W103" s="76">
        <v>1</v>
      </c>
      <c r="X103" s="76">
        <v>2</v>
      </c>
      <c r="Y103" s="76">
        <v>3</v>
      </c>
    </row>
    <row r="104" spans="19:25" ht="12.75">
      <c r="S104" s="76">
        <v>1</v>
      </c>
      <c r="T104" s="76">
        <v>1</v>
      </c>
      <c r="U104" s="76" t="str">
        <f>CONCATENATE(S104,T104)</f>
        <v>11</v>
      </c>
      <c r="V104" s="3">
        <v>1</v>
      </c>
      <c r="W104" s="76">
        <v>1</v>
      </c>
      <c r="X104" s="76">
        <v>1</v>
      </c>
      <c r="Y104" s="76">
        <v>1</v>
      </c>
    </row>
    <row r="105" spans="19:25" ht="12.75">
      <c r="S105" s="76">
        <v>1</v>
      </c>
      <c r="T105" s="76">
        <v>2</v>
      </c>
      <c r="U105" s="76" t="str">
        <f aca="true" t="shared" si="3" ref="U105:U115">CONCATENATE(S105,T105)</f>
        <v>12</v>
      </c>
      <c r="V105" s="3">
        <v>2</v>
      </c>
      <c r="W105" s="76">
        <v>0.7</v>
      </c>
      <c r="X105" s="76">
        <v>0.7</v>
      </c>
      <c r="Y105" s="76">
        <v>0.7</v>
      </c>
    </row>
    <row r="106" spans="19:25" ht="12.75">
      <c r="S106" s="76">
        <v>2</v>
      </c>
      <c r="T106" s="76">
        <v>1</v>
      </c>
      <c r="U106" s="76" t="str">
        <f t="shared" si="3"/>
        <v>21</v>
      </c>
      <c r="V106" s="3">
        <v>3</v>
      </c>
      <c r="W106" s="76">
        <v>1.3195079107728944</v>
      </c>
      <c r="X106" s="76">
        <v>1.414213562373095</v>
      </c>
      <c r="Y106" s="76">
        <v>1.5157165665103982</v>
      </c>
    </row>
    <row r="107" spans="19:25" ht="12.75">
      <c r="S107" s="76">
        <v>2</v>
      </c>
      <c r="T107" s="76">
        <v>2</v>
      </c>
      <c r="U107" s="76" t="str">
        <f t="shared" si="3"/>
        <v>22</v>
      </c>
      <c r="V107" s="3">
        <v>4</v>
      </c>
      <c r="W107" s="76">
        <v>0.923655537541026</v>
      </c>
      <c r="X107" s="76">
        <v>0.9899494936611664</v>
      </c>
      <c r="Y107" s="76">
        <v>1.0610015965572788</v>
      </c>
    </row>
    <row r="108" spans="19:25" ht="12.75">
      <c r="S108" s="76">
        <v>3</v>
      </c>
      <c r="T108" s="76">
        <v>1</v>
      </c>
      <c r="U108" s="76" t="str">
        <f t="shared" si="3"/>
        <v>31</v>
      </c>
      <c r="V108" s="3">
        <v>5</v>
      </c>
      <c r="W108" s="76">
        <v>1.5518455739153596</v>
      </c>
      <c r="X108" s="76">
        <v>1.7320508075688774</v>
      </c>
      <c r="Y108" s="76">
        <v>1.9331820449317625</v>
      </c>
    </row>
    <row r="109" spans="19:25" ht="12.75">
      <c r="S109" s="76">
        <v>3</v>
      </c>
      <c r="T109" s="76">
        <v>2</v>
      </c>
      <c r="U109" s="76" t="str">
        <f t="shared" si="3"/>
        <v>32</v>
      </c>
      <c r="V109" s="3">
        <v>6</v>
      </c>
      <c r="W109" s="76">
        <v>1.0862919017407517</v>
      </c>
      <c r="X109" s="76">
        <v>1.2124355652982142</v>
      </c>
      <c r="Y109" s="76">
        <v>1.3532274314522337</v>
      </c>
    </row>
    <row r="110" spans="19:25" ht="12.75">
      <c r="S110" s="76">
        <v>4</v>
      </c>
      <c r="T110" s="76">
        <v>1</v>
      </c>
      <c r="U110" s="76" t="str">
        <f t="shared" si="3"/>
        <v>41</v>
      </c>
      <c r="V110" s="3">
        <v>7</v>
      </c>
      <c r="W110" s="76">
        <v>1.7411011265922482</v>
      </c>
      <c r="X110" s="76">
        <v>2</v>
      </c>
      <c r="Y110" s="76">
        <v>2.29739670999407</v>
      </c>
    </row>
    <row r="111" spans="19:25" ht="12.75">
      <c r="S111" s="76">
        <v>4</v>
      </c>
      <c r="T111" s="76">
        <v>2</v>
      </c>
      <c r="U111" s="76" t="str">
        <f t="shared" si="3"/>
        <v>42</v>
      </c>
      <c r="V111" s="3">
        <v>8</v>
      </c>
      <c r="W111" s="76">
        <v>1.2187707886145738</v>
      </c>
      <c r="X111" s="76">
        <v>1.4</v>
      </c>
      <c r="Y111" s="76">
        <v>1.608177696995849</v>
      </c>
    </row>
    <row r="112" spans="19:25" ht="12.75">
      <c r="S112" s="76">
        <v>5</v>
      </c>
      <c r="T112" s="76">
        <v>1</v>
      </c>
      <c r="U112" s="76" t="str">
        <f t="shared" si="3"/>
        <v>51</v>
      </c>
      <c r="V112" s="3">
        <v>9</v>
      </c>
      <c r="W112" s="76">
        <v>1.9036539387158786</v>
      </c>
      <c r="X112" s="76">
        <v>2.23606797749979</v>
      </c>
      <c r="Y112" s="76">
        <v>2.626527804403767</v>
      </c>
    </row>
    <row r="113" spans="19:25" ht="12.75">
      <c r="S113" s="76">
        <v>5</v>
      </c>
      <c r="T113" s="76">
        <v>2</v>
      </c>
      <c r="U113" s="76" t="str">
        <f t="shared" si="3"/>
        <v>52</v>
      </c>
      <c r="V113" s="3">
        <v>10</v>
      </c>
      <c r="W113" s="76">
        <v>1.332557757101115</v>
      </c>
      <c r="X113" s="76">
        <v>1.5652475842498528</v>
      </c>
      <c r="Y113" s="76">
        <v>1.8385694630826368</v>
      </c>
    </row>
    <row r="114" spans="19:25" ht="12.75">
      <c r="S114" s="76">
        <v>6</v>
      </c>
      <c r="T114" s="76">
        <v>1</v>
      </c>
      <c r="U114" s="76" t="str">
        <f t="shared" si="3"/>
        <v>61</v>
      </c>
      <c r="V114" s="3">
        <v>11</v>
      </c>
      <c r="W114" s="76">
        <v>2.0476725110792193</v>
      </c>
      <c r="X114" s="76">
        <v>2.4494897427831783</v>
      </c>
      <c r="Y114" s="76">
        <v>2.9301560515835217</v>
      </c>
    </row>
    <row r="115" spans="19:25" ht="12.75">
      <c r="S115" s="76">
        <v>6</v>
      </c>
      <c r="T115" s="76">
        <v>2</v>
      </c>
      <c r="U115" s="76" t="str">
        <f t="shared" si="3"/>
        <v>62</v>
      </c>
      <c r="V115" s="3">
        <v>12</v>
      </c>
      <c r="W115" s="76">
        <v>1.4333707577554535</v>
      </c>
      <c r="X115" s="76">
        <v>1.7146428199482247</v>
      </c>
      <c r="Y115" s="76">
        <v>2.051109236108465</v>
      </c>
    </row>
  </sheetData>
  <sheetProtection password="F238" sheet="1" objects="1" scenarios="1" selectLockedCells="1"/>
  <mergeCells count="8">
    <mergeCell ref="AL64:AM64"/>
    <mergeCell ref="V88:W88"/>
    <mergeCell ref="S75:T75"/>
    <mergeCell ref="O3:P3"/>
    <mergeCell ref="AD93:AE93"/>
    <mergeCell ref="AF93:AG93"/>
    <mergeCell ref="AH93:AI93"/>
    <mergeCell ref="V63:X63"/>
  </mergeCells>
  <conditionalFormatting sqref="K13">
    <cfRule type="expression" priority="1" dxfId="6" stopIfTrue="1">
      <formula>(T82+T83*LOG((C15*1000/C13)/(3600*$U$63^$T$80))-T84*LOG(K7*1000/C13))&gt;40</formula>
    </cfRule>
  </conditionalFormatting>
  <conditionalFormatting sqref="K25">
    <cfRule type="cellIs" priority="2" dxfId="6" operator="greaterThan" stopIfTrue="1">
      <formula>$T$91</formula>
    </cfRule>
  </conditionalFormatting>
  <conditionalFormatting sqref="K23">
    <cfRule type="cellIs" priority="3" dxfId="6" operator="greaterThanOrEqual" stopIfTrue="1">
      <formula>0.2</formula>
    </cfRule>
  </conditionalFormatting>
  <conditionalFormatting sqref="I17">
    <cfRule type="cellIs" priority="4" dxfId="6" operator="equal" stopIfTrue="1">
      <formula>"Consentito solo riscaldamento!"</formula>
    </cfRule>
  </conditionalFormatting>
  <conditionalFormatting sqref="C23">
    <cfRule type="expression" priority="5" dxfId="2" stopIfTrue="1">
      <formula>$V$75=$V$77</formula>
    </cfRule>
  </conditionalFormatting>
  <conditionalFormatting sqref="C25">
    <cfRule type="expression" priority="6" dxfId="2" stopIfTrue="1">
      <formula>$V$75=$V$76</formula>
    </cfRule>
  </conditionalFormatting>
  <conditionalFormatting sqref="G23">
    <cfRule type="expression" priority="7" dxfId="2" stopIfTrue="1">
      <formula>$AA$75=$AA$77</formula>
    </cfRule>
  </conditionalFormatting>
  <conditionalFormatting sqref="G25">
    <cfRule type="expression" priority="8" dxfId="2" stopIfTrue="1">
      <formula>$AA$75=$AA$76</formula>
    </cfRule>
  </conditionalFormatting>
  <conditionalFormatting sqref="V104:V115">
    <cfRule type="cellIs" priority="9" dxfId="10" operator="equal" stopIfTrue="1">
      <formula>$V$103</formula>
    </cfRule>
  </conditionalFormatting>
  <conditionalFormatting sqref="W103:Y103">
    <cfRule type="cellIs" priority="10" dxfId="10" operator="equal" stopIfTrue="1">
      <formula>$X$54-1</formula>
    </cfRule>
  </conditionalFormatting>
  <dataValidations count="3">
    <dataValidation type="whole" operator="greaterThanOrEqual" allowBlank="1" showInputMessage="1" showErrorMessage="1" errorTitle="Valori ammessi" error="La portata d'aria deve essere positiva" sqref="C15">
      <formula1>0</formula1>
    </dataValidation>
    <dataValidation type="list" allowBlank="1" showInputMessage="1" showErrorMessage="1" errorTitle="Lunghezze ammesse" error="L minimo = 300 mm&#10;L massimo = 2000 mm&#10;Solo valori multipli di 100 mm" sqref="C13">
      <formula1>$AD$54:$AU$54</formula1>
    </dataValidation>
    <dataValidation allowBlank="1" showInputMessage="1" showErrorMessage="1" errorTitle="Posizione deflettori" error="Non va bene!" sqref="I17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Tecnoventi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DLF</dc:title>
  <dc:subject/>
  <dc:creator>Claudio ing. Sponchioni</dc:creator>
  <cp:keywords/>
  <dc:description/>
  <cp:lastModifiedBy>Claudio Sponchioni</cp:lastModifiedBy>
  <cp:lastPrinted>2010-12-16T07:38:52Z</cp:lastPrinted>
  <dcterms:created xsi:type="dcterms:W3CDTF">2007-09-21T07:39:03Z</dcterms:created>
  <dcterms:modified xsi:type="dcterms:W3CDTF">2022-07-04T12:23:09Z</dcterms:modified>
  <cp:category/>
  <cp:version/>
  <cp:contentType/>
  <cp:contentStatus/>
</cp:coreProperties>
</file>